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3"/>
  <workbookPr defaultThemeVersion="124226"/>
  <xr:revisionPtr revIDLastSave="0" documentId="8_{510BC1E5-3372-48CA-95A5-5C18ABABEC0F}" xr6:coauthVersionLast="45" xr6:coauthVersionMax="45" xr10:uidLastSave="{00000000-0000-0000-0000-000000000000}"/>
  <bookViews>
    <workbookView xWindow="40" yWindow="0" windowWidth="13240" windowHeight="111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1" l="1"/>
  <c r="A14" i="1"/>
  <c r="A17" i="1"/>
  <c r="A38" i="1"/>
  <c r="A19" i="1"/>
  <c r="H5" i="1"/>
  <c r="B6" i="1"/>
  <c r="A18" i="1"/>
  <c r="A16" i="1"/>
  <c r="A36" i="1"/>
  <c r="F6" i="1"/>
  <c r="C6" i="1"/>
  <c r="E6" i="1"/>
  <c r="A6" i="1"/>
  <c r="D5" i="1"/>
  <c r="A4" i="1"/>
  <c r="A5" i="1"/>
  <c r="A20" i="1"/>
  <c r="A15" i="1"/>
  <c r="A3" i="1"/>
  <c r="C9" i="1" l="1"/>
  <c r="G5" i="1"/>
  <c r="D7" i="1" l="1"/>
  <c r="D8" i="1" s="1"/>
  <c r="E8" i="1" l="1"/>
  <c r="E7" i="1"/>
  <c r="F7" i="1" s="1"/>
  <c r="G7" i="1" s="1"/>
  <c r="H6" i="1" l="1"/>
  <c r="E22" i="1" l="1"/>
  <c r="E23" i="1" s="1"/>
  <c r="E24" i="1" s="1"/>
  <c r="E26" i="1"/>
  <c r="E27" i="1" s="1"/>
  <c r="E28" i="1" s="1"/>
  <c r="E29" i="1" s="1"/>
  <c r="E30" i="1" s="1"/>
  <c r="E31" i="1" s="1"/>
  <c r="E32" i="1" s="1"/>
  <c r="E33" i="1" s="1"/>
  <c r="E34" i="1" s="1"/>
  <c r="E35" i="1" s="1"/>
  <c r="C12" i="1" s="1"/>
  <c r="I7" i="1"/>
  <c r="E13" i="1"/>
  <c r="F13" i="1" s="1"/>
  <c r="E11" i="1"/>
  <c r="E10" i="1"/>
  <c r="E12" i="1" l="1"/>
  <c r="F12" i="1" s="1"/>
  <c r="G12" i="1" s="1"/>
  <c r="F11" i="1"/>
  <c r="G11" i="1" s="1"/>
  <c r="H11" i="1"/>
  <c r="H7" i="1"/>
  <c r="F10" i="1"/>
  <c r="G10" i="1" s="1"/>
  <c r="H10" i="1"/>
  <c r="H12" i="1" l="1"/>
  <c r="H8" i="1"/>
  <c r="F8" i="1"/>
  <c r="E9" i="1"/>
  <c r="H9" i="1" s="1"/>
  <c r="I12" i="1"/>
  <c r="F9" i="1" l="1"/>
  <c r="G9" i="1" s="1"/>
  <c r="G8" i="1"/>
</calcChain>
</file>

<file path=xl/sharedStrings.xml><?xml version="1.0" encoding="utf-8"?>
<sst xmlns="http://schemas.openxmlformats.org/spreadsheetml/2006/main" count="45" uniqueCount="41">
  <si>
    <t>original</t>
  </si>
  <si>
    <t>Nederlands</t>
  </si>
  <si>
    <t>English</t>
  </si>
  <si>
    <t>Deutsch</t>
  </si>
  <si>
    <t>Français</t>
  </si>
  <si>
    <t>Español</t>
  </si>
  <si>
    <t>Português</t>
  </si>
  <si>
    <t>Slovenščina</t>
  </si>
  <si>
    <t>v.191119</t>
  </si>
  <si>
    <t>(ml/sec)</t>
  </si>
  <si>
    <t>(ml/ml)</t>
  </si>
  <si>
    <t>Ca/Kh ratio (native)</t>
  </si>
  <si>
    <t>SG</t>
  </si>
  <si>
    <r>
      <rPr>
        <b/>
        <sz val="8"/>
        <color theme="3" tint="0.39997558519241921"/>
        <rFont val="Arial"/>
        <family val="2"/>
      </rPr>
      <t xml:space="preserve"> dkh /</t>
    </r>
    <r>
      <rPr>
        <b/>
        <sz val="8"/>
        <color indexed="8"/>
        <rFont val="Arial"/>
        <family val="2"/>
      </rPr>
      <t xml:space="preserve"> ppm</t>
    </r>
  </si>
  <si>
    <t>EZ-Buffer</t>
  </si>
  <si>
    <t>x</t>
  </si>
  <si>
    <t>EZ-Calcium</t>
  </si>
  <si>
    <t>Buf/Cal ratio</t>
  </si>
  <si>
    <t>EZ-Trace</t>
  </si>
  <si>
    <t>max.</t>
  </si>
  <si>
    <t>-</t>
  </si>
  <si>
    <t>PO4+</t>
  </si>
  <si>
    <r>
      <t>NO3+</t>
    </r>
    <r>
      <rPr>
        <b/>
        <sz val="8"/>
        <color indexed="8"/>
        <rFont val="Arial"/>
        <family val="2"/>
      </rPr>
      <t xml:space="preserve"> </t>
    </r>
  </si>
  <si>
    <r>
      <rPr>
        <b/>
        <sz val="8"/>
        <color indexed="18"/>
        <rFont val="Arial"/>
        <family val="2"/>
      </rPr>
      <t>EZ-Carbon</t>
    </r>
    <r>
      <rPr>
        <sz val="8"/>
        <color indexed="18"/>
        <rFont val="Arial"/>
        <family val="2"/>
      </rPr>
      <t xml:space="preserve"> </t>
    </r>
  </si>
  <si>
    <t>D3</t>
  </si>
  <si>
    <t>Amino/C (weekly dose)</t>
  </si>
  <si>
    <t>ml</t>
  </si>
  <si>
    <t>D1</t>
  </si>
  <si>
    <t>D2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</si>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</sst>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_ ;[Red]\-0\ "/>
    <numFmt numFmtId="166" formatCode="0.000"/>
    <numFmt numFmtId="167" formatCode="#,##0.00_ ;\-#,##0.00\ "/>
    <numFmt numFmtId="168" formatCode="#,##0_ ;\-#,##0\ "/>
    <numFmt numFmtId="169" formatCode="#,##0.0_ ;\-#,##0.0\ "/>
  </numFmts>
  <fonts count="3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rgb="FF0033CC"/>
      <name val="Arial"/>
      <family val="2"/>
    </font>
    <font>
      <sz val="8"/>
      <color rgb="FFE4E4E4"/>
      <name val="Arial"/>
      <family val="2"/>
    </font>
    <font>
      <b/>
      <sz val="10"/>
      <color rgb="FFE4E4E4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0" tint="-0.249977111117893"/>
      <name val="Arial"/>
      <family val="2"/>
    </font>
    <font>
      <b/>
      <sz val="8"/>
      <color indexed="18"/>
      <name val="Arial"/>
      <family val="2"/>
    </font>
    <font>
      <b/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b/>
      <sz val="8"/>
      <color rgb="FF0000FF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  <scheme val="minor"/>
    </font>
    <font>
      <i/>
      <sz val="8"/>
      <color indexed="8"/>
      <name val="Arial"/>
      <family val="2"/>
    </font>
    <font>
      <sz val="8"/>
      <color rgb="FF0000FF"/>
      <name val="Arial"/>
      <family val="2"/>
    </font>
    <font>
      <u/>
      <sz val="11"/>
      <color theme="10"/>
      <name val="Calibri"/>
      <family val="2"/>
    </font>
    <font>
      <b/>
      <sz val="8"/>
      <color rgb="FF0033CC"/>
      <name val="Arial"/>
      <family val="2"/>
    </font>
    <font>
      <b/>
      <sz val="8"/>
      <color theme="3" tint="0.39997558519241921"/>
      <name val="Arial"/>
      <family val="2"/>
    </font>
    <font>
      <sz val="7"/>
      <color theme="0" tint="-0.24997711111789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FFFF00"/>
        <bgColor indexed="9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41"/>
      </patternFill>
    </fill>
    <fill>
      <patternFill patternType="solid">
        <fgColor rgb="FFEAEAEA"/>
        <bgColor indexed="9"/>
      </patternFill>
    </fill>
    <fill>
      <patternFill patternType="solid">
        <fgColor rgb="FFFFFFCC"/>
        <bgColor indexed="3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rgb="FFEAEAEA"/>
        <bgColor indexed="3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 wrapText="1"/>
    </xf>
    <xf numFmtId="164" fontId="5" fillId="0" borderId="0" xfId="0" applyNumberFormat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wrapText="1"/>
    </xf>
    <xf numFmtId="164" fontId="0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2" fontId="10" fillId="0" borderId="1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13" fillId="0" borderId="0" xfId="0" applyFont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16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2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40" fontId="7" fillId="4" borderId="13" xfId="0" applyNumberFormat="1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164" fontId="7" fillId="0" borderId="0" xfId="0" applyNumberFormat="1" applyFont="1" applyFill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vertical="center"/>
    </xf>
    <xf numFmtId="166" fontId="11" fillId="1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164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7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vertical="center"/>
      <protection locked="0"/>
    </xf>
    <xf numFmtId="0" fontId="16" fillId="10" borderId="2" xfId="0" applyFont="1" applyFill="1" applyBorder="1" applyAlignment="1" applyProtection="1">
      <alignment horizontal="center" vertical="center"/>
    </xf>
    <xf numFmtId="164" fontId="17" fillId="11" borderId="2" xfId="0" applyNumberFormat="1" applyFont="1" applyFill="1" applyBorder="1" applyAlignment="1" applyProtection="1">
      <alignment vertical="center"/>
    </xf>
    <xf numFmtId="164" fontId="17" fillId="11" borderId="8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Alignment="1" applyProtection="1">
      <alignment horizontal="center" vertical="center"/>
    </xf>
    <xf numFmtId="167" fontId="1" fillId="0" borderId="0" xfId="0" applyNumberFormat="1" applyFont="1" applyAlignment="1" applyProtection="1">
      <alignment horizontal="center" vertical="center"/>
    </xf>
    <xf numFmtId="167" fontId="8" fillId="0" borderId="6" xfId="0" applyNumberFormat="1" applyFont="1" applyBorder="1" applyAlignment="1" applyProtection="1">
      <alignment horizontal="center" vertical="center"/>
    </xf>
    <xf numFmtId="167" fontId="17" fillId="5" borderId="2" xfId="0" applyNumberFormat="1" applyFont="1" applyFill="1" applyBorder="1" applyAlignment="1" applyProtection="1">
      <alignment horizontal="center" vertical="center"/>
    </xf>
    <xf numFmtId="2" fontId="17" fillId="9" borderId="15" xfId="0" applyNumberFormat="1" applyFont="1" applyFill="1" applyBorder="1" applyAlignment="1" applyProtection="1">
      <alignment horizontal="center" vertical="center"/>
    </xf>
    <xf numFmtId="167" fontId="7" fillId="0" borderId="0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vertical="center"/>
    </xf>
    <xf numFmtId="164" fontId="11" fillId="2" borderId="8" xfId="0" applyNumberFormat="1" applyFont="1" applyFill="1" applyBorder="1" applyAlignment="1" applyProtection="1">
      <alignment horizontal="center" vertical="center"/>
    </xf>
    <xf numFmtId="167" fontId="18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168" fontId="18" fillId="3" borderId="2" xfId="0" applyNumberFormat="1" applyFont="1" applyFill="1" applyBorder="1" applyAlignment="1" applyProtection="1">
      <alignment horizontal="center" vertical="center"/>
      <protection locked="0"/>
    </xf>
    <xf numFmtId="16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19" fillId="6" borderId="0" xfId="0" applyNumberFormat="1" applyFont="1" applyFill="1" applyBorder="1" applyAlignment="1" applyProtection="1">
      <alignment horizontal="center" vertical="center" wrapText="1"/>
    </xf>
    <xf numFmtId="169" fontId="19" fillId="2" borderId="0" xfId="0" applyNumberFormat="1" applyFont="1" applyFill="1" applyBorder="1" applyAlignment="1" applyProtection="1">
      <alignment horizontal="center" vertical="center" wrapText="1"/>
    </xf>
    <xf numFmtId="169" fontId="19" fillId="2" borderId="17" xfId="0" applyNumberFormat="1" applyFont="1" applyFill="1" applyBorder="1" applyAlignment="1" applyProtection="1">
      <alignment horizontal="center" vertical="center" wrapText="1"/>
    </xf>
    <xf numFmtId="169" fontId="7" fillId="4" borderId="9" xfId="0" applyNumberFormat="1" applyFont="1" applyFill="1" applyBorder="1" applyAlignment="1" applyProtection="1">
      <alignment horizontal="center" vertical="center"/>
    </xf>
    <xf numFmtId="169" fontId="7" fillId="4" borderId="5" xfId="0" applyNumberFormat="1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vertical="center"/>
    </xf>
    <xf numFmtId="167" fontId="25" fillId="6" borderId="0" xfId="0" applyNumberFormat="1" applyFont="1" applyFill="1" applyBorder="1" applyAlignment="1" applyProtection="1">
      <alignment horizontal="center" vertical="center" wrapText="1"/>
    </xf>
    <xf numFmtId="166" fontId="21" fillId="7" borderId="17" xfId="0" applyNumberFormat="1" applyFont="1" applyFill="1" applyBorder="1" applyAlignment="1" applyProtection="1">
      <alignment horizontal="center" vertical="center" wrapText="1"/>
    </xf>
    <xf numFmtId="167" fontId="21" fillId="13" borderId="17" xfId="0" applyNumberFormat="1" applyFont="1" applyFill="1" applyBorder="1" applyAlignment="1" applyProtection="1">
      <alignment horizontal="center" vertical="center"/>
    </xf>
    <xf numFmtId="166" fontId="21" fillId="14" borderId="0" xfId="0" applyNumberFormat="1" applyFont="1" applyFill="1" applyBorder="1" applyAlignment="1" applyProtection="1">
      <alignment horizontal="center" vertical="center" wrapText="1"/>
    </xf>
    <xf numFmtId="2" fontId="21" fillId="14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28" fillId="0" borderId="0" xfId="0" applyFont="1" applyAlignment="1" applyProtection="1">
      <alignment horizontal="center" wrapText="1"/>
    </xf>
    <xf numFmtId="164" fontId="27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Alignment="1" applyProtection="1">
      <alignment wrapText="1"/>
    </xf>
    <xf numFmtId="164" fontId="28" fillId="0" borderId="0" xfId="0" applyNumberFormat="1" applyFont="1" applyAlignment="1" applyProtection="1">
      <alignment horizontal="center" wrapText="1"/>
    </xf>
    <xf numFmtId="0" fontId="1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5" fontId="22" fillId="3" borderId="16" xfId="0" applyNumberFormat="1" applyFont="1" applyFill="1" applyBorder="1" applyAlignment="1" applyProtection="1">
      <alignment horizontal="center" vertical="center"/>
      <protection locked="0"/>
    </xf>
    <xf numFmtId="165" fontId="22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11" fillId="4" borderId="16" xfId="0" applyFont="1" applyFill="1" applyBorder="1" applyAlignment="1" applyProtection="1">
      <alignment horizontal="center" vertical="center"/>
    </xf>
    <xf numFmtId="0" fontId="24" fillId="4" borderId="20" xfId="0" applyFont="1" applyFill="1" applyBorder="1" applyAlignment="1" applyProtection="1">
      <alignment horizontal="center" vertical="center"/>
    </xf>
    <xf numFmtId="0" fontId="24" fillId="4" borderId="16" xfId="0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horizontal="center" wrapText="1"/>
    </xf>
    <xf numFmtId="0" fontId="26" fillId="9" borderId="22" xfId="0" applyFont="1" applyFill="1" applyBorder="1" applyAlignment="1" applyProtection="1">
      <alignment horizontal="center" wrapText="1"/>
    </xf>
    <xf numFmtId="0" fontId="23" fillId="0" borderId="0" xfId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23" fillId="0" borderId="2" xfId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EAEAEA"/>
      <color rgb="FF0033CC"/>
      <color rgb="FFFFFFCC"/>
      <color rgb="FFFFFF99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srreefing.com/nutrients/" TargetMode="External"/><Relationship Id="rId1" Type="http://schemas.openxmlformats.org/officeDocument/2006/relationships/hyperlink" Target="https://www.facebook.com/groups/DSRProductSupport/permalink/10071506260986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3" zoomScale="156" zoomScaleNormal="156" workbookViewId="0">
      <selection activeCell="D12" sqref="D12"/>
    </sheetView>
  </sheetViews>
  <sheetFormatPr defaultColWidth="12.28515625" defaultRowHeight="15.75" customHeight="1"/>
  <cols>
    <col min="1" max="1" width="9" style="6" customWidth="1"/>
    <col min="2" max="2" width="5.85546875" style="7" customWidth="1"/>
    <col min="3" max="3" width="6.28515625" style="7" customWidth="1"/>
    <col min="4" max="4" width="5.7109375" style="7" customWidth="1"/>
    <col min="5" max="5" width="7.5703125" style="8" customWidth="1"/>
    <col min="6" max="6" width="7.5703125" style="9" customWidth="1"/>
    <col min="7" max="7" width="5.42578125" style="10" customWidth="1"/>
    <col min="8" max="8" width="6.140625" style="5" customWidth="1"/>
    <col min="9" max="9" width="6.5703125" style="11" hidden="1" customWidth="1"/>
    <col min="10" max="10" width="5.85546875" style="5" hidden="1" customWidth="1"/>
    <col min="11" max="11" width="9.7109375" style="11" hidden="1" customWidth="1"/>
    <col min="12" max="16384" width="12.28515625" style="5"/>
  </cols>
  <sheetData>
    <row r="1" spans="1:12" s="1" customFormat="1" ht="21" hidden="1" customHeight="1">
      <c r="A1" s="73" t="s">
        <v>0</v>
      </c>
      <c r="B1" s="73"/>
      <c r="C1" s="73"/>
      <c r="D1" s="73"/>
      <c r="E1" s="73"/>
      <c r="F1" s="73"/>
      <c r="G1" s="73"/>
      <c r="I1" s="71"/>
      <c r="K1" s="71"/>
    </row>
    <row r="2" spans="1:12" s="1" customFormat="1" ht="15.75" hidden="1" customHeight="1" thickBot="1">
      <c r="A2" s="25" t="s">
        <v>1</v>
      </c>
      <c r="B2" s="25" t="s">
        <v>2</v>
      </c>
      <c r="C2" s="26" t="s">
        <v>3</v>
      </c>
      <c r="D2" s="25" t="s">
        <v>4</v>
      </c>
      <c r="E2" s="26" t="s">
        <v>5</v>
      </c>
      <c r="F2" s="19" t="s">
        <v>6</v>
      </c>
      <c r="G2" s="27" t="s">
        <v>7</v>
      </c>
      <c r="I2" s="71"/>
      <c r="K2" s="71"/>
    </row>
    <row r="3" spans="1:12" s="1" customFormat="1" ht="16.5" customHeight="1" thickBot="1">
      <c r="A3" s="83" t="str">
        <f>IF($E$3="Nederlands","EZ-DSR Calculator",IF($E$3="English","EZ-DSR Calculator",IF($E$3="Deutsch","EZ-DSR Calculator",IF($E$3="Français","EZ-DSR Calculator",IF($E$3="Español","EZ-DSR Calculator",IF($E$3="Português","Calculadora EZ-DSR",IF($E$3="Slovenščina","EZ-DSR Kalkulator")))))))</f>
        <v>EZ-DSR Calculator</v>
      </c>
      <c r="B3" s="84"/>
      <c r="C3" s="82" t="s">
        <v>8</v>
      </c>
      <c r="D3" s="82"/>
      <c r="E3" s="75" t="s">
        <v>2</v>
      </c>
      <c r="F3" s="76"/>
      <c r="I3" s="12"/>
      <c r="J3" s="13"/>
      <c r="K3" s="71"/>
    </row>
    <row r="4" spans="1:12" s="1" customFormat="1" ht="14.45" customHeight="1" thickBot="1">
      <c r="A4" s="35" t="str">
        <f>IF($E$3="Nederlands","Calibration ratio",IF($E$3="English","Calibration ratio",IF($E$3="Deutsch","Calibration ratio",IF($E$3="Français","Calibration ratio",IF($E$3="Español","Calibration ratio",IF($E$3="Português","Rácio de Calibração",IF($E$3="Slovenščina","Kalibracijsko razmerje")))))))</f>
        <v>Calibration ratio</v>
      </c>
      <c r="B4" s="36"/>
      <c r="C4" s="36"/>
      <c r="D4" s="42">
        <v>1</v>
      </c>
      <c r="E4" s="37" t="s">
        <v>9</v>
      </c>
      <c r="F4" s="37" t="s">
        <v>10</v>
      </c>
      <c r="G4" s="38"/>
      <c r="I4" s="12"/>
      <c r="J4" s="13"/>
      <c r="K4" s="71"/>
    </row>
    <row r="5" spans="1:12" s="1" customFormat="1" ht="23.1" customHeight="1" thickBot="1">
      <c r="A5" s="45" t="str">
        <f>IF($E$3="Nederlands","Volume (L)",IF($E$3="English","Volume (L)",IF($E$3="Deutsch","Volumen (L)",IF($E$3="Français","Volume (L)",IF($E$3="Español","Volumen (L)",IF($E$3="Português","Volume (L)",IF($E$3="Slovenščina","Volumen (L)")))))))</f>
        <v>Volume (L)</v>
      </c>
      <c r="B5" s="52">
        <v>100</v>
      </c>
      <c r="C5" s="46"/>
      <c r="D5" s="74" t="str">
        <f>IF($E$3="Nederlands","Aantal dagen tussen metingen",IF($E$3="English","Days between measurements",IF($E$3="Deutsch","Tage zwischen den Messungen",IF($E$3="Français","Jours entre les mesures",IF($E$3="Español","Días entre mediciones",IF($E$3="Português","Dias entre Medições",IF($E$3="Slovenščina","Dni med merjanjem")))))))</f>
        <v>Days between measurements</v>
      </c>
      <c r="E5" s="74"/>
      <c r="F5" s="47">
        <v>1</v>
      </c>
      <c r="G5" s="85" t="str">
        <f>IF($E$3="Nederlands","pump setting",IF($E$3="English","pump setting",IF($E$3="Deutsch","pump setting",IF($E$3="Français","pump setting",IF($E$3="Español","pump setting",IF($E$3="Português","Definições Bomba Dosagem"))))))</f>
        <v>pump setting</v>
      </c>
      <c r="H5" s="89" t="str">
        <f>IF($E$3="Nederlands","Cor. Gewicht (gr)",IF($E$3="English","Cor. Weight (gr)",IF($E$3="Deutsch","Kor. Gewicht (gr)",IF($E$3="Français","Cor. Poids (gr)",IF($E$3="Español","Cor. Peso (gr)",IF($E$3="Português","Peso de Correcção (gr)",IF($E$3="Slovenščina","Popra-vek teža (gr)")))))))</f>
        <v>Cor. Weight (gr)</v>
      </c>
      <c r="I5" s="90" t="s">
        <v>11</v>
      </c>
      <c r="J5" s="13"/>
      <c r="K5" s="88" t="s">
        <v>12</v>
      </c>
      <c r="L5" s="13"/>
    </row>
    <row r="6" spans="1:12" s="1" customFormat="1" ht="30" customHeight="1">
      <c r="A6" s="48" t="str">
        <f>IF($E$3="Nederlands","Produkt",IF($E$3="English","Product",IF($E$3="Deutsch","Product",IF($E$3="Français","Product",IF($E$3="Español","Product",IF($E$3="Português","Produto",IF($E$3="Slovenščina","Izdelek")))))))</f>
        <v>Product</v>
      </c>
      <c r="B6" s="49" t="str">
        <f>IF($E$3="Nederlands","Waarde",IF($E$3="English","Value",IF($E$3="Deutsch","Wert",IF($E$3="Français","Valeur",IF($E$3="Español","Valor",IF($E$3="Português","Valor",IF($E$3="Slovenščina","Vred-nost")))))))</f>
        <v>Value</v>
      </c>
      <c r="C6" s="49" t="str">
        <f>IF($E$3="Nederlands","Doel",IF($E$3="English","Setpoint",IF($E$3="Deutsch","SollWert",IF($E$3="Français","But",IF($E$3="Español","punto fijo",IF($E$3="Português","Objec-tivo",IF($E$3="Slovenščina","Končna vrednost")))))))</f>
        <v>Setpoint</v>
      </c>
      <c r="D6" s="50" t="s">
        <v>13</v>
      </c>
      <c r="E6" s="49" t="str">
        <f>IF($E$3="Nederlands","Correctie / start (ml)",IF($E$3="English","Correction (ml)",IF($E$3="Deutsch","Korrektur (ml)",IF($E$3="Français","Correction (ml)",IF($E$3="Español","Corrección (ml)",IF($E$3="Português","Correcção (ml)",IF($E$3="Slovenščina","Popravek (ml)")))))))</f>
        <v>Correction (ml)</v>
      </c>
      <c r="F6" s="51" t="str">
        <f>IF($E$3="Nederlands","Dagelijks (ml)",IF($E$3="English","Daily (ml)",IF($E$3="Deutsch","Täglich (ml)",IF($E$3="Français","Quotidien (ml)",IF($E$3="Español","Diario (ml)",IF($E$3="Português","Consumo Diário (ml)",IF($E$3="Slovenščina","Dnevno (ml)")))))))</f>
        <v>Daily (ml)</v>
      </c>
      <c r="G6" s="86"/>
      <c r="H6" s="89" t="str">
        <f>IF($E$3="Nederlands","Liters",IF($E$3="English","Liters",IF($E$3="Deutsch","Liter",IF($E$3="Français","litres",IF($E$3="Español","Litros")))))</f>
        <v>Liters</v>
      </c>
      <c r="I6" s="91"/>
      <c r="K6" s="88"/>
      <c r="L6" s="13"/>
    </row>
    <row r="7" spans="1:12" s="1" customFormat="1" ht="13.5" customHeight="1">
      <c r="A7" s="60" t="s">
        <v>14</v>
      </c>
      <c r="B7" s="53" t="s">
        <v>15</v>
      </c>
      <c r="C7" s="53">
        <v>9</v>
      </c>
      <c r="D7" s="61">
        <f>IF($B$7="x",0.24,C7-B7)</f>
        <v>0.24</v>
      </c>
      <c r="E7" s="55">
        <f>($B$5/100)*$D$7*16.7</f>
        <v>4.008</v>
      </c>
      <c r="F7" s="58">
        <f>+$E$7/$F$5</f>
        <v>4.008</v>
      </c>
      <c r="G7" s="43">
        <f>F7/$D$4</f>
        <v>4.008</v>
      </c>
      <c r="H7" s="44">
        <f t="shared" ref="H7:H12" si="0">E7*K7</f>
        <v>4.3727279999999995</v>
      </c>
      <c r="I7" s="15">
        <f>D8/D7</f>
        <v>5.8</v>
      </c>
      <c r="K7" s="39">
        <v>1.091</v>
      </c>
    </row>
    <row r="8" spans="1:12" s="2" customFormat="1" ht="13.5" customHeight="1">
      <c r="A8" s="30" t="s">
        <v>16</v>
      </c>
      <c r="B8" s="54" t="s">
        <v>15</v>
      </c>
      <c r="C8" s="54">
        <v>440</v>
      </c>
      <c r="D8" s="55">
        <f>IF($B$8="x",(5.8*D7),C8-B8)</f>
        <v>1.3919999999999999</v>
      </c>
      <c r="E8" s="55">
        <f>($B$5/100)*$D$8*0.578</f>
        <v>0.80457599999999985</v>
      </c>
      <c r="F8" s="58">
        <f>+$E$8/$F$5</f>
        <v>0.80457599999999985</v>
      </c>
      <c r="G8" s="43">
        <f t="shared" ref="G8:G12" si="1">F8/$D$4</f>
        <v>0.80457599999999985</v>
      </c>
      <c r="H8" s="44">
        <f t="shared" si="0"/>
        <v>1.0982462399999997</v>
      </c>
      <c r="I8" s="92" t="s">
        <v>17</v>
      </c>
      <c r="K8" s="40">
        <v>1.365</v>
      </c>
    </row>
    <row r="9" spans="1:12" s="2" customFormat="1" ht="13.5" customHeight="1">
      <c r="A9" s="28" t="s">
        <v>18</v>
      </c>
      <c r="B9" s="64" t="s">
        <v>19</v>
      </c>
      <c r="C9" s="65">
        <f>6*(B5/100)</f>
        <v>6</v>
      </c>
      <c r="D9" s="29" t="s">
        <v>20</v>
      </c>
      <c r="E9" s="56">
        <f>E8/2</f>
        <v>0.40228799999999992</v>
      </c>
      <c r="F9" s="58">
        <f>F8/2</f>
        <v>0.40228799999999992</v>
      </c>
      <c r="G9" s="43">
        <f t="shared" si="1"/>
        <v>0.40228799999999992</v>
      </c>
      <c r="H9" s="44">
        <f t="shared" si="0"/>
        <v>0.48033187199999988</v>
      </c>
      <c r="I9" s="92"/>
      <c r="K9" s="40">
        <v>1.194</v>
      </c>
    </row>
    <row r="10" spans="1:12" s="2" customFormat="1" ht="13.5" hidden="1" customHeight="1">
      <c r="A10" s="28" t="s">
        <v>21</v>
      </c>
      <c r="B10" s="21">
        <v>0</v>
      </c>
      <c r="C10" s="21"/>
      <c r="D10" s="32">
        <v>7.0000000000000001E-3</v>
      </c>
      <c r="E10" s="56">
        <f>($B$5/100)*(D10-B10)*100*0.1</f>
        <v>7.0000000000000007E-2</v>
      </c>
      <c r="F10" s="58">
        <f>+E10</f>
        <v>7.0000000000000007E-2</v>
      </c>
      <c r="G10" s="43">
        <f t="shared" si="1"/>
        <v>7.0000000000000007E-2</v>
      </c>
      <c r="H10" s="44">
        <f t="shared" si="0"/>
        <v>0</v>
      </c>
      <c r="I10" s="14"/>
      <c r="K10" s="40"/>
    </row>
    <row r="11" spans="1:12" s="2" customFormat="1" ht="13.5" hidden="1" customHeight="1">
      <c r="A11" s="28" t="s">
        <v>22</v>
      </c>
      <c r="B11" s="20">
        <v>0</v>
      </c>
      <c r="C11" s="20"/>
      <c r="D11" s="33">
        <v>0.1</v>
      </c>
      <c r="E11" s="56">
        <f>($B$5/100)*(D11-B11)*1.44</f>
        <v>0.14399999999999999</v>
      </c>
      <c r="F11" s="58">
        <f>+E11</f>
        <v>0.14399999999999999</v>
      </c>
      <c r="G11" s="43">
        <f t="shared" si="1"/>
        <v>0.14399999999999999</v>
      </c>
      <c r="H11" s="44">
        <f t="shared" si="0"/>
        <v>0</v>
      </c>
      <c r="I11" s="14"/>
      <c r="K11" s="40"/>
    </row>
    <row r="12" spans="1:12" s="3" customFormat="1" ht="13.5" customHeight="1" thickBot="1">
      <c r="A12" s="31" t="s">
        <v>23</v>
      </c>
      <c r="B12" s="62" t="s">
        <v>19</v>
      </c>
      <c r="C12" s="63">
        <f>($B$5/100)*$E$35</f>
        <v>12.383472844799998</v>
      </c>
      <c r="D12" s="34" t="s">
        <v>24</v>
      </c>
      <c r="E12" s="57">
        <f>IF(D12="D1",($B$5/100)*E21,IF(D12="D2",($B$5/100)*E22,IF(D12="D3",($B$5/100)*E23,IF(D12="D4",($B$5/100)*E24,IF(D12="D5",($B$5/100)*E25,IF(D12="D6",($B$5/100)*E26,IF(D12="D7",($B$5/100)*E27,IF(D12="D8",($B$5/100)*E28,IF(D12="D9",($B$5/100)*E29,IF(D12="D10",($B$5/100)*E30,IF(D12="D11",($B$5/100)*E31,IF(D12="D12",($B$5/100)*E32,IF(D12="D13",($B$5/100)*E33,IF(D12="D14",($B$5/100)*E34,IF(D12="D15",($B$5/100)*E35)))))))))))))))</f>
        <v>1.44</v>
      </c>
      <c r="F12" s="59">
        <f>+E12</f>
        <v>1.44</v>
      </c>
      <c r="G12" s="43">
        <f t="shared" si="1"/>
        <v>1.44</v>
      </c>
      <c r="H12" s="44">
        <f t="shared" si="0"/>
        <v>1.4726879999999998</v>
      </c>
      <c r="I12" s="41">
        <f>E7/E8</f>
        <v>4.9815057868989392</v>
      </c>
      <c r="K12" s="40">
        <v>1.0226999999999999</v>
      </c>
    </row>
    <row r="13" spans="1:12" s="3" customFormat="1" ht="18" hidden="1" customHeight="1" thickBot="1">
      <c r="A13" s="80" t="s">
        <v>25</v>
      </c>
      <c r="B13" s="81"/>
      <c r="C13" s="81"/>
      <c r="D13" s="81"/>
      <c r="E13" s="22">
        <f>(B5/100)*1</f>
        <v>1</v>
      </c>
      <c r="F13" s="23">
        <f>+E13</f>
        <v>1</v>
      </c>
      <c r="G13" s="24" t="s">
        <v>26</v>
      </c>
      <c r="I13" s="4"/>
      <c r="K13" s="4"/>
    </row>
    <row r="14" spans="1:12" ht="45.6" customHeight="1">
      <c r="A14" s="77" t="str">
        <f>IF($E$3="Nederlands","indien nodig, start dosering berekenen door bij waarde * in te vullen. Correcties en (dagelijks)verbruik berekenen door de gemeten waarde en het aantal dagen vanaf de laatste meting in te vullen. ",IF($E$3="English","When required, calculate startdosing by typing x  at Value. Corrections and (daily) consumption can be calculated by submitting the measured value and the day between measurements.",IF($E$3="Deutsch","Berechnen Sie bei Bedarf die Startdosierung, indem Sie x bei Wert eingeben. Korrekturen und (Tages-) Verbrauch können berechnet werden, indem der Messwert und der Tag zwischen den Messungen übermittelt werden.",IF($E$3="Français","Au besoin, calculez le début de la dose en tapant x comme valeur. Les corrections et la consommation (journalière) peuvent être calculées en soumettant la valeur mesurée et le jour entre les mesures.",IF($E$3="Español","Cuando sea necesario, calcule la dosificación inicial escribiendo x en Value. Las correcciones y el consumo (diario) pueden calcularse enviando el valor medido y el día entre mediciones.",IF($E$3="Português","Quando necessário, calcule a dose inicial digitando x em Valor. Valores de correcção e consumo diário, podem ser calculados usando os valores medidos(resultado do teste de água) e os dias entre medições.",IF($E$3="Slovenščina","Po potrebi izračunajte začetno odmerjanje tako, da vtipkate x pri vrednosti. Popravke in (dnevno) porabo lahko izračunate tako, da dodate izmerjeno vrednost in dan med meritvami.")))))))</f>
        <v>When required, calculate startdosing by typing x  at Value. Corrections and (daily) consumption can be calculated by submitting the measured value and the day between measurements.</v>
      </c>
      <c r="B14" s="78"/>
      <c r="C14" s="78"/>
      <c r="D14" s="78"/>
      <c r="E14" s="78"/>
      <c r="F14" s="78"/>
      <c r="G14" s="79"/>
    </row>
    <row r="15" spans="1:12" ht="20.100000000000001" customHeight="1">
      <c r="A15" s="93" t="str">
        <f>IF($E$3="Nederlands","EZ Buffer/EZCalcium ratio = 5:1 (ml). Deze verhouding kan aangepast worden aan het werkelijk verbruik.",IF($E$3="English","EZ Buffer / EZCalcium ratio = 5:1 (ml). This ratio can be adjusted to the actual consumption.",IF($E$3="Deutsch","EZ-Buffer / EZCalcium Verhältnis = 5:1 (ml). Dieses Verhältnis kann an den tatsächlichen Verbrauch angepasst werden.",IF($E$3="Français","Rapport tampon EZ / EZCalcium = 5:1 (ml). Ce ratio peut être ajusté à la consommation réelle.",IF($E$3="Español","EZ Buffer / EZCalcium ratio = 5:1 (ml). Esta relación se puede ajustar al consumo real.",IF($E$3="Português","EZ Buffer / EZ Calcium ratio = 5:1(ml). Este rácio pode ser ajustado tendo em conta o atual consumo. ",IF($E$3="Slovenščina","Razmerje EZ Buffer / EZ Calcium = 5: 1 (ml). To razmerje je mogoče prilagoditi dejanski porabi.")))))))</f>
        <v>EZ Buffer / EZCalcium ratio = 5:1 (ml). This ratio can be adjusted to the actual consumption.</v>
      </c>
      <c r="B15" s="94"/>
      <c r="C15" s="94"/>
      <c r="D15" s="94"/>
      <c r="E15" s="94"/>
      <c r="F15" s="94"/>
      <c r="G15" s="95"/>
      <c r="H15" s="17"/>
      <c r="I15" s="16"/>
    </row>
    <row r="16" spans="1:12" ht="20.100000000000001" customHeight="1">
      <c r="A16" s="93" t="str">
        <f>IF($E$3="Nederlands","EZ-Trace = 50% van EZ-Calcium. (of werkelijk verbruik) ",IF($E$3="English","EZ-Trace = 50% of EZ-Calcium. (or actual consumption)",IF($E$3="Deutsch","EZ-Trace = 50% oder EZ-Calcium. (oder tatsächlicher Verbrauch)",IF($E$3="Français","EZ-Trace = 50% ou EZ-Calcium. (ou consommation réelle)",IF($E$3="Español","EZ-Trace = 50% o EZ-Calcium. (o consumo real)",IF($E$3="Português","EZ-Trace = 50% ou EZ-Cálcio. (ou consumo real)",IF($E$3="Slovenščina","EZ-sled = 50% ali EZ-kalcij. (ali dejanska poraba)")))))))</f>
        <v>EZ-Trace = 50% of EZ-Calcium. (or actual consumption)</v>
      </c>
      <c r="B16" s="94"/>
      <c r="C16" s="94"/>
      <c r="D16" s="94"/>
      <c r="E16" s="94"/>
      <c r="F16" s="94"/>
      <c r="G16" s="95"/>
      <c r="H16" s="17"/>
      <c r="I16" s="16"/>
      <c r="K16" s="72"/>
      <c r="L16" s="18"/>
    </row>
    <row r="17" spans="1:9" ht="21.95" customHeight="1">
      <c r="A17" s="93" t="str">
        <f>IF($E$3="Nederlands","(1) Verspreid de geadviseerde correcties over meerdere dagen. (2) Vermeerdert de huidige dosering met de berekende dagelijks dosering.",IF($E$3="English","(1) Spread the recommended corrections over several days. (2) Increase the current dose by the calculated daily dose.",IF($E$3="Deutsch","(1) Verteilen Sie die empfohlenen Korrekturen auf mehrere Tage. (2) Erhöhen Sie die aktuelle Dosis um die berechnete Tagesdosis.",IF($E$3="Français","(1) Répartissez les corrections recommandées sur plusieurs jours. (2) Augmentez la dose actuelle de la dose quotidienne calculée.",IF($E$3="Español","(1) Extienda las correcciones recomendadas durante varios días. (2) Aumente la dosis actual en la dosis diaria calculada.",IF($E$3="Português","(1) Espalhe as correções recomendadas por vários dias. (2) Aumente a dose atual pela dose diária calculada.",IF($E$3="Slovenščina","(1) Priporočljive popravke razmažite po več dneh. (2) Povečajte trenutni odmerek za izračunani dnevni odmerek.")))))))</f>
        <v>(1) Spread the recommended corrections over several days. (2) Increase the current dose by the calculated daily dose.</v>
      </c>
      <c r="B17" s="94"/>
      <c r="C17" s="94"/>
      <c r="D17" s="94"/>
      <c r="E17" s="94"/>
      <c r="F17" s="94"/>
      <c r="G17" s="95"/>
      <c r="H17" s="17"/>
      <c r="I17" s="16"/>
    </row>
    <row r="18" spans="1:9" ht="21" customHeight="1">
      <c r="A18" s="93" t="str">
        <f>IF($E$3="Nederlands","Correcties brengen de waarden op peil en kunnen het eenvoudigst met FullDSR producten worden uitgevoerd.",IF($E$3="English","Corrections bring the values up to date and are easiest to do with FullDSR products.",IF($E$3="Deutsch","Korrekturen bringen die Werte auf den neuesten Stand und sind mit FullDSR-Produkten am einfachsten durchzuführen.",IF($E$3="Français","Les corrections apportent les valeurs à jour et sont plus faciles à faire avec les produits FullDSR.",IF($E$3="Español","Las correcciones actualizan los valores y son más fáciles de hacer con los productos FullDSR.",IF($E$3="Português","As correções atualizam os valores e são mais fáceis de fazer com os produtos FullDSR.",IF($E$3="Slovenščina","Popravki posodabljajo vrednosti in jih je najlažje narediti pri izdelkih FullDSR.")))))))</f>
        <v>Corrections bring the values up to date and are easiest to do with FullDSR products.</v>
      </c>
      <c r="B18" s="94"/>
      <c r="C18" s="94"/>
      <c r="D18" s="94"/>
      <c r="E18" s="94"/>
      <c r="F18" s="94"/>
      <c r="G18" s="95"/>
    </row>
    <row r="19" spans="1:9" ht="32.1" customHeight="1">
      <c r="A19" s="93" t="str">
        <f>IF($E$3="Nederlands","EZ-Carbon dosering opvoeren (D1-15), totdat PO4 en NO3 onder controle zijn. Verlaagd de dosering als het doel bereikt is. (Maak gebruik CarbonVS indien PO4 onmeetbaar is).",IF($E$3="English","Increase EZ-Carbon dosage (D1-15) until PO4 and NO3 are under control. Decrease when target is reached. (Use CarbonVS if PO4 is immeasurable).",IF($E$3="Deutsch","Erhöhen Sie die EZ-Carbon Dosierung (D1-15), bis PO4 und NO3 unter Kontrolle sind. (Verwenden Sie CarbonVS, wenn PO4 nicht messbar ist).",IF($E$3="Français","Augmentez la dose de EZ-Carbon (D1-15) jusqu'à ce que PO4 et NO3 soient sous contrôle. (Utilisez CarbonVS si PO4 est incommensurable).",IF($E$3="Español","Aumente la dosis de EZ-Carbon (D1-15) hasta que PO4 y NO3 estén bajo control. (Use CarbonVS si PO4 no se puede medir).",IF($E$3="Português","Incremente a dosagem de EZ-Carbon (D1-15) até PO4 e NO3 estarem sob controlo. Decremente o valor da dosagem assim que atingir o objectivo. (Use CarbonVS se PO4 for incomensurável). ",IF($E$3="Slovenščina","Povečajte odmerek EZ-Carbon (D1-15), dokler nista PO4 in NO3 pod nadzorom. Zmanjšajte, ko je cilj dosežen. (Uporabite CarbonVS, če je PO4 neizmerljiv).")))))))</f>
        <v>Increase EZ-Carbon dosage (D1-15) until PO4 and NO3 are under control. Decrease when target is reached. (Use CarbonVS if PO4 is immeasurable).</v>
      </c>
      <c r="B19" s="94"/>
      <c r="C19" s="94"/>
      <c r="D19" s="94"/>
      <c r="E19" s="94"/>
      <c r="F19" s="94"/>
      <c r="G19" s="95"/>
      <c r="H19" s="17"/>
      <c r="I19" s="16"/>
    </row>
    <row r="20" spans="1:9" ht="21.95" customHeight="1" thickBot="1">
      <c r="A20" s="96" t="str">
        <f>IF($E$3="Nederlands","Calibration ratio is om instelling te berekenen die afwijken van de 1:1 ml/ml of ml/s verhouding.",IF($E$3="English","Calibration ratio is to calculate setting that deviate from the 1:1 ml /ml or ml /s ratio.",IF($E$3="Deutsch","Das 'Calibration ratio' dient zur Berechnung der Einstellung, die von dem Verhältnis 1:1 ml / ml oder ml /s abweicht.",IF($E$3="Français","Le 'Calibration ratio' consiste à calculer un réglage qui s'écarte du rapport 1:1 ml / ml ou ml /s.",IF($E$3="Español","'Calibration ratio' es calcular una configuración que se desvía de la relación 1:1 ml /ml o ml /s.",IF($E$3="Português","O rácio de calibração é calculado através do relação 1:1 ml/ml ou ml/s ",IF($E$3="Slovenščina","Kalibracijsko razmerje je izračunavanjedoziranj, ki odstopajo od razmerja 1:1 ml/ml ali ml/s.")))))))</f>
        <v>Calibration ratio is to calculate setting that deviate from the 1:1 ml /ml or ml /s ratio.</v>
      </c>
      <c r="B20" s="97"/>
      <c r="C20" s="97"/>
      <c r="D20" s="97"/>
      <c r="E20" s="97"/>
      <c r="F20" s="97"/>
      <c r="G20" s="98"/>
      <c r="H20" s="17"/>
      <c r="I20" s="16"/>
    </row>
    <row r="21" spans="1:9" ht="15.75" hidden="1" customHeight="1">
      <c r="A21" s="66"/>
      <c r="B21" s="67"/>
      <c r="C21" s="67"/>
      <c r="D21" s="67" t="s">
        <v>27</v>
      </c>
      <c r="E21" s="68">
        <v>1</v>
      </c>
      <c r="F21" s="69"/>
      <c r="G21" s="70"/>
    </row>
    <row r="22" spans="1:9" ht="15.75" hidden="1" customHeight="1">
      <c r="A22" s="66"/>
      <c r="B22" s="67"/>
      <c r="C22" s="67"/>
      <c r="D22" s="67" t="s">
        <v>28</v>
      </c>
      <c r="E22" s="68">
        <f>E21*1.2</f>
        <v>1.2</v>
      </c>
      <c r="F22" s="69"/>
      <c r="G22" s="70"/>
    </row>
    <row r="23" spans="1:9" ht="15.75" hidden="1" customHeight="1">
      <c r="A23" s="66"/>
      <c r="B23" s="67"/>
      <c r="C23" s="67"/>
      <c r="D23" s="67" t="s">
        <v>24</v>
      </c>
      <c r="E23" s="68">
        <f t="shared" ref="E23:E35" si="2">E22*1.2</f>
        <v>1.44</v>
      </c>
      <c r="F23" s="69"/>
      <c r="G23" s="70"/>
    </row>
    <row r="24" spans="1:9" ht="15.75" hidden="1" customHeight="1">
      <c r="A24" s="66"/>
      <c r="B24" s="67"/>
      <c r="C24" s="67"/>
      <c r="D24" s="67" t="s">
        <v>29</v>
      </c>
      <c r="E24" s="68">
        <f t="shared" si="2"/>
        <v>1.728</v>
      </c>
      <c r="F24" s="69"/>
      <c r="G24" s="70"/>
    </row>
    <row r="25" spans="1:9" ht="15.75" hidden="1" customHeight="1">
      <c r="A25" s="66"/>
      <c r="B25" s="67"/>
      <c r="C25" s="67"/>
      <c r="D25" s="67" t="s">
        <v>30</v>
      </c>
      <c r="E25" s="68">
        <v>2</v>
      </c>
      <c r="F25" s="69"/>
      <c r="G25" s="70"/>
    </row>
    <row r="26" spans="1:9" ht="15.75" hidden="1" customHeight="1">
      <c r="A26" s="66"/>
      <c r="B26" s="67"/>
      <c r="C26" s="67"/>
      <c r="D26" s="67" t="s">
        <v>31</v>
      </c>
      <c r="E26" s="68">
        <f t="shared" si="2"/>
        <v>2.4</v>
      </c>
      <c r="F26" s="69"/>
      <c r="G26" s="70"/>
    </row>
    <row r="27" spans="1:9" ht="15.75" hidden="1" customHeight="1">
      <c r="A27" s="66"/>
      <c r="B27" s="67"/>
      <c r="C27" s="67"/>
      <c r="D27" s="67" t="s">
        <v>32</v>
      </c>
      <c r="E27" s="68">
        <f t="shared" si="2"/>
        <v>2.88</v>
      </c>
      <c r="F27" s="69"/>
      <c r="G27" s="70"/>
    </row>
    <row r="28" spans="1:9" ht="15.75" hidden="1" customHeight="1">
      <c r="A28" s="66"/>
      <c r="B28" s="67"/>
      <c r="C28" s="67"/>
      <c r="D28" s="67" t="s">
        <v>33</v>
      </c>
      <c r="E28" s="68">
        <f t="shared" si="2"/>
        <v>3.456</v>
      </c>
      <c r="F28" s="69"/>
      <c r="G28" s="70"/>
    </row>
    <row r="29" spans="1:9" ht="15.75" hidden="1" customHeight="1">
      <c r="A29" s="66"/>
      <c r="B29" s="67"/>
      <c r="C29" s="67"/>
      <c r="D29" s="67" t="s">
        <v>34</v>
      </c>
      <c r="E29" s="68">
        <f t="shared" si="2"/>
        <v>4.1471999999999998</v>
      </c>
      <c r="F29" s="69"/>
      <c r="G29" s="70"/>
    </row>
    <row r="30" spans="1:9" ht="15.75" hidden="1" customHeight="1">
      <c r="A30" s="66"/>
      <c r="B30" s="67"/>
      <c r="C30" s="67"/>
      <c r="D30" s="67" t="s">
        <v>35</v>
      </c>
      <c r="E30" s="68">
        <f t="shared" si="2"/>
        <v>4.9766399999999997</v>
      </c>
      <c r="F30" s="69"/>
      <c r="G30" s="70"/>
    </row>
    <row r="31" spans="1:9" ht="15.75" hidden="1" customHeight="1">
      <c r="A31" s="66"/>
      <c r="B31" s="67"/>
      <c r="C31" s="67"/>
      <c r="D31" s="67" t="s">
        <v>36</v>
      </c>
      <c r="E31" s="68">
        <f t="shared" si="2"/>
        <v>5.9719679999999995</v>
      </c>
      <c r="F31" s="69"/>
      <c r="G31" s="70"/>
    </row>
    <row r="32" spans="1:9" ht="15.75" hidden="1" customHeight="1">
      <c r="A32" s="66"/>
      <c r="B32" s="67"/>
      <c r="C32" s="67"/>
      <c r="D32" s="67" t="s">
        <v>37</v>
      </c>
      <c r="E32" s="68">
        <f t="shared" si="2"/>
        <v>7.1663615999999992</v>
      </c>
      <c r="F32" s="69"/>
      <c r="G32" s="70"/>
    </row>
    <row r="33" spans="1:7" ht="15.75" hidden="1" customHeight="1">
      <c r="A33" s="66"/>
      <c r="B33" s="67"/>
      <c r="C33" s="67"/>
      <c r="D33" s="67" t="s">
        <v>38</v>
      </c>
      <c r="E33" s="68">
        <f t="shared" si="2"/>
        <v>8.5996339199999987</v>
      </c>
      <c r="F33" s="69"/>
      <c r="G33" s="70"/>
    </row>
    <row r="34" spans="1:7" ht="15.75" hidden="1" customHeight="1">
      <c r="A34" s="66"/>
      <c r="B34" s="67"/>
      <c r="C34" s="67"/>
      <c r="D34" s="67" t="s">
        <v>39</v>
      </c>
      <c r="E34" s="68">
        <f t="shared" si="2"/>
        <v>10.319560703999999</v>
      </c>
      <c r="F34" s="69"/>
      <c r="G34" s="70"/>
    </row>
    <row r="35" spans="1:7" ht="15.75" hidden="1" customHeight="1">
      <c r="A35" s="66"/>
      <c r="B35" s="67"/>
      <c r="C35" s="67"/>
      <c r="D35" s="67" t="s">
        <v>40</v>
      </c>
      <c r="E35" s="68">
        <f t="shared" si="2"/>
        <v>12.383472844799998</v>
      </c>
      <c r="F35" s="69"/>
      <c r="G35" s="70"/>
    </row>
    <row r="36" spans="1:7" ht="21" customHeight="1" thickBot="1">
      <c r="A36" s="100" t="str">
        <f>IF($E$3="Nederlands","De EZ calculator is niet noodzakelijk, maar kan gebruikt worden om  (start) doseringen  te berekenen",IF($E$3="English","The EZ calculator is not necessary, but can be used to calculate (start) dosages",IF($E$3="Deutsch","Der EZ-Rechner ist nicht notwendig, kann aber zur Berechnung von (Start-) Dosierungen verwendet werden",IF($E$3="Français","La calculatrice EZ n'est pas nécessaire, mais peut être utilisée pour calculer (démarrer) des dosages",IF($E$3="Español","La calculadora EZ no es necesaria, pero se puede usar para calcular (comenzar) las dosis",IF($E$3="Português","A calculadora EZ não é extritamente necessária, mas poderá ser utilizada para calcular as dosagens de arranque. ",IF($E$3="Slovenščina","EZ Kalkulator ni potreben, vendar ga je mogoče uporabiti za izračun (začetnih) odmerkov")))))))</f>
        <v>The EZ calculator is not necessary, but can be used to calculate (start) dosages</v>
      </c>
      <c r="B36" s="101"/>
      <c r="C36" s="101"/>
      <c r="D36" s="101"/>
      <c r="E36" s="101"/>
      <c r="F36" s="101"/>
      <c r="G36" s="102"/>
    </row>
    <row r="37" spans="1:7" ht="15.95" customHeight="1">
      <c r="A37" s="99" t="str">
        <f>IF($E$3="Nederlands","Verplicht lezen",IF($E$3="English","Mandatory reading",IF($E$3="Deutsch","Pflichtlektüre",IF($E$3="Français","Lecture obligatoire",IF($E$3="Español","Lectura obligatoria",IF($E$3="Português","Leitura obrigatória",IF($E$3="Slovenščina","Obvezno branje")))))))</f>
        <v>Mandatory reading</v>
      </c>
      <c r="B37" s="99"/>
      <c r="C37" s="99"/>
      <c r="D37" s="99"/>
      <c r="E37" s="99"/>
      <c r="F37" s="99"/>
      <c r="G37" s="99"/>
    </row>
    <row r="38" spans="1:7" ht="14.1" customHeight="1">
      <c r="A38" s="87" t="str">
        <f>IF($E$3="Nederlands","EZ Calculator 2.0 discussie topic",IF($E$3="English","EZ Calculator 2.0 discussion topic",IF($E$3="Deutsch","Diskussionsthema zu EZ Calculator 2.0",IF($E$3="Français","Sujet de discussion EZ Calculator 2.0",IF($E$3="Español","Tema de discusión de EZ Calculator 2.0",IF($E$3="Português","EZ Calculator 2.0 Forúm de Discussão",IF($E$3="Slovenščina","EZ Kalkulator 2.0 tema na Forumu")))))))</f>
        <v>EZ Calculator 2.0 discussion topic</v>
      </c>
      <c r="B38" s="87"/>
      <c r="C38" s="87"/>
      <c r="D38" s="87"/>
      <c r="E38" s="87"/>
      <c r="F38" s="87"/>
      <c r="G38" s="87"/>
    </row>
  </sheetData>
  <mergeCells count="21">
    <mergeCell ref="A38:G38"/>
    <mergeCell ref="K5:K6"/>
    <mergeCell ref="H5:H6"/>
    <mergeCell ref="I5:I6"/>
    <mergeCell ref="I8:I9"/>
    <mergeCell ref="A17:G17"/>
    <mergeCell ref="A15:G15"/>
    <mergeCell ref="A16:G16"/>
    <mergeCell ref="A19:G19"/>
    <mergeCell ref="A20:G20"/>
    <mergeCell ref="A37:G37"/>
    <mergeCell ref="A18:G18"/>
    <mergeCell ref="A36:G36"/>
    <mergeCell ref="A1:G1"/>
    <mergeCell ref="D5:E5"/>
    <mergeCell ref="E3:F3"/>
    <mergeCell ref="A14:G14"/>
    <mergeCell ref="A13:D13"/>
    <mergeCell ref="C3:D3"/>
    <mergeCell ref="A3:B3"/>
    <mergeCell ref="G5:G6"/>
  </mergeCells>
  <dataValidations count="2">
    <dataValidation type="list" allowBlank="1" showInputMessage="1" showErrorMessage="1" sqref="D12" xr:uid="{00000000-0002-0000-0000-000000000000}">
      <formula1>$D$21:$D$35</formula1>
    </dataValidation>
    <dataValidation type="list" allowBlank="1" showInputMessage="1" showErrorMessage="1" sqref="E3:F3" xr:uid="{00000000-0002-0000-0000-000001000000}">
      <formula1>$A$2:$G$2</formula1>
    </dataValidation>
  </dataValidations>
  <hyperlinks>
    <hyperlink ref="A38:G38" r:id="rId1" display="EZ Calculator discusion topic" xr:uid="{00000000-0004-0000-0000-000000000000}"/>
    <hyperlink ref="A37:G37" r:id="rId2" display="http://dsrreefing.com/nutrients/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</dc:creator>
  <cp:keywords/>
  <dc:description/>
  <cp:lastModifiedBy>glenn fong</cp:lastModifiedBy>
  <cp:revision/>
  <dcterms:created xsi:type="dcterms:W3CDTF">2017-03-15T16:44:36Z</dcterms:created>
  <dcterms:modified xsi:type="dcterms:W3CDTF">2020-06-04T13:17:07Z</dcterms:modified>
  <cp:category/>
  <cp:contentStatus/>
</cp:coreProperties>
</file>